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25" windowHeight="8835" firstSheet="1" activeTab="5"/>
  </bookViews>
  <sheets>
    <sheet name="Tabelle1" sheetId="1" r:id="rId1"/>
    <sheet name="Tabelle2" sheetId="2" r:id="rId2"/>
    <sheet name="Szenariobericht" sheetId="3" r:id="rId3"/>
    <sheet name="Sensitivity Report 1" sheetId="4" r:id="rId4"/>
    <sheet name="Limits Report 1" sheetId="5" r:id="rId5"/>
    <sheet name="LO-OR-Test" sheetId="6" r:id="rId6"/>
  </sheets>
  <definedNames>
    <definedName name="solver_adj" localSheetId="5" hidden="1">'LO-OR-Test'!$C$2:$C$17</definedName>
    <definedName name="solver_adj" localSheetId="0" hidden="1">'Tabelle1'!$A$4:$C$4</definedName>
    <definedName name="solver_adj" localSheetId="1" hidden="1">'Tabelle2'!$B$5:$B$10</definedName>
    <definedName name="solver_cvg" localSheetId="5" hidden="1">0.0001</definedName>
    <definedName name="solver_cvg" localSheetId="0" hidden="1">0.0001</definedName>
    <definedName name="solver_cvg" localSheetId="1" hidden="1">0.0001</definedName>
    <definedName name="solver_drv" localSheetId="5" hidden="1">1</definedName>
    <definedName name="solver_drv" localSheetId="0" hidden="1">1</definedName>
    <definedName name="solver_drv" localSheetId="1" hidden="1">1</definedName>
    <definedName name="solver_est" localSheetId="5" hidden="1">1</definedName>
    <definedName name="solver_est" localSheetId="0" hidden="1">1</definedName>
    <definedName name="solver_est" localSheetId="1" hidden="1">1</definedName>
    <definedName name="solver_itr" localSheetId="5" hidden="1">1000</definedName>
    <definedName name="solver_itr" localSheetId="0" hidden="1">100</definedName>
    <definedName name="solver_itr" localSheetId="1" hidden="1">100</definedName>
    <definedName name="solver_lhs1" localSheetId="5" hidden="1">'LO-OR-Test'!$C$2:$C$17</definedName>
    <definedName name="solver_lhs1" localSheetId="0" hidden="1">'Tabelle1'!$A$4:$B$4</definedName>
    <definedName name="solver_lhs1" localSheetId="1" hidden="1">'Tabelle2'!$B$9</definedName>
    <definedName name="solver_lhs10" localSheetId="5" hidden="1">'LO-OR-Test'!$C$10</definedName>
    <definedName name="solver_lhs10" localSheetId="1" hidden="1">'Tabelle2'!$B$8</definedName>
    <definedName name="solver_lhs11" localSheetId="1" hidden="1">'Tabelle2'!$B$7</definedName>
    <definedName name="solver_lhs2" localSheetId="5" hidden="1">'LO-OR-Test'!$C$2:$C$17</definedName>
    <definedName name="solver_lhs2" localSheetId="0" hidden="1">'Tabelle1'!$A$4:$C$4</definedName>
    <definedName name="solver_lhs2" localSheetId="1" hidden="1">'Tabelle2'!$B$5:$B$10</definedName>
    <definedName name="solver_lhs3" localSheetId="5" hidden="1">'LO-OR-Test'!$C$37</definedName>
    <definedName name="solver_lhs3" localSheetId="0" hidden="1">'Tabelle1'!$A$4:$B$4</definedName>
    <definedName name="solver_lhs3" localSheetId="1" hidden="1">'Tabelle2'!$B$5</definedName>
    <definedName name="solver_lhs4" localSheetId="5" hidden="1">'LO-OR-Test'!$C$18</definedName>
    <definedName name="solver_lhs4" localSheetId="0" hidden="1">'Tabelle1'!$A$4:$B$4</definedName>
    <definedName name="solver_lhs4" localSheetId="1" hidden="1">'Tabelle2'!$B$9</definedName>
    <definedName name="solver_lhs5" localSheetId="5" hidden="1">'LO-OR-Test'!$C$37</definedName>
    <definedName name="solver_lhs5" localSheetId="0" hidden="1">'Tabelle1'!$D$6</definedName>
    <definedName name="solver_lhs5" localSheetId="1" hidden="1">'Tabelle2'!$B$5:$B$10</definedName>
    <definedName name="solver_lhs6" localSheetId="5" hidden="1">'LO-OR-Test'!$C$4</definedName>
    <definedName name="solver_lhs6" localSheetId="1" hidden="1">'Tabelle2'!$B$5</definedName>
    <definedName name="solver_lhs7" localSheetId="5" hidden="1">'LO-OR-Test'!$C$4</definedName>
    <definedName name="solver_lhs7" localSheetId="1" hidden="1">'Tabelle2'!$B$6</definedName>
    <definedName name="solver_lhs8" localSheetId="5" hidden="1">'LO-OR-Test'!$C$7</definedName>
    <definedName name="solver_lhs8" localSheetId="1" hidden="1">'Tabelle2'!$B$11</definedName>
    <definedName name="solver_lhs9" localSheetId="5" hidden="1">'LO-OR-Test'!$C$8</definedName>
    <definedName name="solver_lhs9" localSheetId="1" hidden="1">'Tabelle2'!$B$10</definedName>
    <definedName name="solver_lin" localSheetId="5" hidden="1">2</definedName>
    <definedName name="solver_lin" localSheetId="0" hidden="1">1</definedName>
    <definedName name="solver_lin" localSheetId="1" hidden="1">1</definedName>
    <definedName name="solver_neg" localSheetId="5" hidden="1">1</definedName>
    <definedName name="solver_neg" localSheetId="0" hidden="1">2</definedName>
    <definedName name="solver_neg" localSheetId="1" hidden="1">2</definedName>
    <definedName name="solver_num" localSheetId="5" hidden="1">3</definedName>
    <definedName name="solver_num" localSheetId="0" hidden="1">2</definedName>
    <definedName name="solver_num" localSheetId="1" hidden="1">11</definedName>
    <definedName name="solver_nwt" localSheetId="5" hidden="1">1</definedName>
    <definedName name="solver_nwt" localSheetId="0" hidden="1">1</definedName>
    <definedName name="solver_nwt" localSheetId="1" hidden="1">1</definedName>
    <definedName name="solver_opt" localSheetId="5" hidden="1">'LO-OR-Test'!$M$18</definedName>
    <definedName name="solver_opt" localSheetId="0" hidden="1">'Tabelle1'!$L$18</definedName>
    <definedName name="solver_opt" localSheetId="1" hidden="1">'Tabelle2'!$E$11</definedName>
    <definedName name="solver_pre" localSheetId="5" hidden="1">0.000001</definedName>
    <definedName name="solver_pre" localSheetId="0" hidden="1">0.000001</definedName>
    <definedName name="solver_pre" localSheetId="1" hidden="1">0.000001</definedName>
    <definedName name="solver_rel1" localSheetId="5" hidden="1">1</definedName>
    <definedName name="solver_rel1" localSheetId="0" hidden="1">4</definedName>
    <definedName name="solver_rel1" localSheetId="1" hidden="1">1</definedName>
    <definedName name="solver_rel10" localSheetId="5" hidden="1">2</definedName>
    <definedName name="solver_rel10" localSheetId="1" hidden="1">1</definedName>
    <definedName name="solver_rel11" localSheetId="1" hidden="1">1</definedName>
    <definedName name="solver_rel2" localSheetId="5" hidden="1">3</definedName>
    <definedName name="solver_rel2" localSheetId="0" hidden="1">3</definedName>
    <definedName name="solver_rel2" localSheetId="1" hidden="1">4</definedName>
    <definedName name="solver_rel3" localSheetId="5" hidden="1">3</definedName>
    <definedName name="solver_rel3" localSheetId="0" hidden="1">4</definedName>
    <definedName name="solver_rel3" localSheetId="1" hidden="1">3</definedName>
    <definedName name="solver_rel4" localSheetId="5" hidden="1">2</definedName>
    <definedName name="solver_rel4" localSheetId="0" hidden="1">4</definedName>
    <definedName name="solver_rel4" localSheetId="1" hidden="1">3</definedName>
    <definedName name="solver_rel5" localSheetId="5" hidden="1">3</definedName>
    <definedName name="solver_rel5" localSheetId="0" hidden="1">3</definedName>
    <definedName name="solver_rel5" localSheetId="1" hidden="1">3</definedName>
    <definedName name="solver_rel6" localSheetId="5" hidden="1">2</definedName>
    <definedName name="solver_rel6" localSheetId="1" hidden="1">1</definedName>
    <definedName name="solver_rel7" localSheetId="5" hidden="1">2</definedName>
    <definedName name="solver_rel7" localSheetId="1" hidden="1">1</definedName>
    <definedName name="solver_rel8" localSheetId="5" hidden="1">2</definedName>
    <definedName name="solver_rel8" localSheetId="1" hidden="1">3</definedName>
    <definedName name="solver_rel9" localSheetId="5" hidden="1">2</definedName>
    <definedName name="solver_rel9" localSheetId="1" hidden="1">1</definedName>
    <definedName name="solver_rhs1" localSheetId="5" hidden="1">1</definedName>
    <definedName name="solver_rhs1" localSheetId="0" hidden="1">integer</definedName>
    <definedName name="solver_rhs1" localSheetId="1" hidden="1">'Tabelle2'!$A$9</definedName>
    <definedName name="solver_rhs10" localSheetId="5" hidden="1">0</definedName>
    <definedName name="solver_rhs10" localSheetId="1" hidden="1">'Tabelle2'!$A$8</definedName>
    <definedName name="solver_rhs11" localSheetId="1" hidden="1">'Tabelle2'!$A$7</definedName>
    <definedName name="solver_rhs2" localSheetId="5" hidden="1">0</definedName>
    <definedName name="solver_rhs2" localSheetId="0" hidden="1">0</definedName>
    <definedName name="solver_rhs2" localSheetId="1" hidden="1">integer</definedName>
    <definedName name="solver_rhs3" localSheetId="5" hidden="1">299</definedName>
    <definedName name="solver_rhs3" localSheetId="0" hidden="1">integer</definedName>
    <definedName name="solver_rhs3" localSheetId="1" hidden="1">1</definedName>
    <definedName name="solver_rhs4" localSheetId="5" hidden="1">10</definedName>
    <definedName name="solver_rhs4" localSheetId="0" hidden="1">integer</definedName>
    <definedName name="solver_rhs4" localSheetId="1" hidden="1">2</definedName>
    <definedName name="solver_rhs5" localSheetId="5" hidden="1">385</definedName>
    <definedName name="solver_rhs5" localSheetId="0" hidden="1">-14800</definedName>
    <definedName name="solver_rhs5" localSheetId="1" hidden="1">0</definedName>
    <definedName name="solver_rhs6" localSheetId="5" hidden="1">0</definedName>
    <definedName name="solver_rhs6" localSheetId="1" hidden="1">'Tabelle2'!$A$5</definedName>
    <definedName name="solver_rhs7" localSheetId="5" hidden="1">0</definedName>
    <definedName name="solver_rhs7" localSheetId="1" hidden="1">'Tabelle2'!$A$6</definedName>
    <definedName name="solver_rhs8" localSheetId="5" hidden="1">0</definedName>
    <definedName name="solver_rhs8" localSheetId="1" hidden="1">28</definedName>
    <definedName name="solver_rhs9" localSheetId="5" hidden="1">0</definedName>
    <definedName name="solver_rhs9" localSheetId="1" hidden="1">'Tabelle2'!$A$10</definedName>
    <definedName name="solver_scl" localSheetId="5" hidden="1">1</definedName>
    <definedName name="solver_scl" localSheetId="0" hidden="1">2</definedName>
    <definedName name="solver_scl" localSheetId="1" hidden="1">2</definedName>
    <definedName name="solver_sho" localSheetId="5" hidden="1">2</definedName>
    <definedName name="solver_sho" localSheetId="0" hidden="1">2</definedName>
    <definedName name="solver_sho" localSheetId="1" hidden="1">2</definedName>
    <definedName name="solver_tim" localSheetId="5" hidden="1">32100</definedName>
    <definedName name="solver_tim" localSheetId="0" hidden="1">100</definedName>
    <definedName name="solver_tim" localSheetId="1" hidden="1">10000</definedName>
    <definedName name="solver_tol" localSheetId="5" hidden="1">0.0001</definedName>
    <definedName name="solver_tol" localSheetId="0" hidden="1">0</definedName>
    <definedName name="solver_tol" localSheetId="1" hidden="1">0.01</definedName>
    <definedName name="solver_typ" localSheetId="5" hidden="1">2</definedName>
    <definedName name="solver_typ" localSheetId="0" hidden="1">2</definedName>
    <definedName name="solver_typ" localSheetId="1" hidden="1">2</definedName>
    <definedName name="solver_val" localSheetId="5" hidden="1">0</definedName>
    <definedName name="solver_val" localSheetId="0" hidden="1">10000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<sst xmlns="http://schemas.openxmlformats.org/spreadsheetml/2006/main" count="204" uniqueCount="113">
  <si>
    <t>Anzahl</t>
  </si>
  <si>
    <t>JA</t>
  </si>
  <si>
    <t>IST</t>
  </si>
  <si>
    <t>Danach</t>
  </si>
  <si>
    <t>3Ist</t>
  </si>
  <si>
    <t>3INKLAB</t>
  </si>
  <si>
    <t>Vear</t>
  </si>
  <si>
    <t>o.A:</t>
  </si>
  <si>
    <t>Kennziffer</t>
  </si>
  <si>
    <t>BZ</t>
  </si>
  <si>
    <t>Jinkl.UG</t>
  </si>
  <si>
    <t>WG</t>
  </si>
  <si>
    <t>Erhöhung</t>
  </si>
  <si>
    <t>AGinklEr</t>
  </si>
  <si>
    <t>B</t>
  </si>
  <si>
    <t>noch Jahre</t>
  </si>
  <si>
    <t>k</t>
  </si>
  <si>
    <t>w</t>
  </si>
  <si>
    <t>s</t>
  </si>
  <si>
    <t>r</t>
  </si>
  <si>
    <t>h</t>
  </si>
  <si>
    <t>L</t>
  </si>
  <si>
    <t>Wie</t>
  </si>
  <si>
    <t>Ess</t>
  </si>
  <si>
    <t>Se</t>
  </si>
  <si>
    <t>Za</t>
  </si>
  <si>
    <t>Gr</t>
  </si>
  <si>
    <t>Sk</t>
  </si>
  <si>
    <t>Ke</t>
  </si>
  <si>
    <t>Afri</t>
  </si>
  <si>
    <t>Pl</t>
  </si>
  <si>
    <t>Abf</t>
  </si>
  <si>
    <t>Empfohlen</t>
  </si>
  <si>
    <t>Betr</t>
  </si>
  <si>
    <t>SummeimJahr</t>
  </si>
  <si>
    <t>$C$2</t>
  </si>
  <si>
    <t>$C$3</t>
  </si>
  <si>
    <t>$C$4</t>
  </si>
  <si>
    <t>$C$5</t>
  </si>
  <si>
    <t>$C$6</t>
  </si>
  <si>
    <t>$C$7</t>
  </si>
  <si>
    <t>$C$8</t>
  </si>
  <si>
    <t>$C$9</t>
  </si>
  <si>
    <t>$C$10</t>
  </si>
  <si>
    <t>$C$11</t>
  </si>
  <si>
    <t>$C$12</t>
  </si>
  <si>
    <t>$C$13</t>
  </si>
  <si>
    <t>$C$14</t>
  </si>
  <si>
    <t>$C$15</t>
  </si>
  <si>
    <t>$C$16</t>
  </si>
  <si>
    <t>$C$17</t>
  </si>
  <si>
    <t>Erstellt von Georg Siudeja am 9/8/2003</t>
  </si>
  <si>
    <t>Szenariobericht</t>
  </si>
  <si>
    <t>Veränderbare Zellen:</t>
  </si>
  <si>
    <t>Aktuelle Werte:</t>
  </si>
  <si>
    <t>Ergebniszellen:</t>
  </si>
  <si>
    <t>Anmerkung: Die Aktuelle Wertespalte repräsentiert die Werte der veränderbaren</t>
  </si>
  <si>
    <t>Zellen zum Zeitpunkt, als der Szenariobericht erstellt wurde. Veränderbare Zellen</t>
  </si>
  <si>
    <t>für Szenarien sind in grau hervorgehoben.</t>
  </si>
  <si>
    <t>$L$18</t>
  </si>
  <si>
    <t>Microsoft Excel 9.0 Sensitivity Report</t>
  </si>
  <si>
    <t>Worksheet: [LO-OR-LösungenTEst2.xls]LO-OR-Test</t>
  </si>
  <si>
    <t>Report Created: 22.09.2003 13:47:38</t>
  </si>
  <si>
    <t>Adjustable Cells</t>
  </si>
  <si>
    <t>Cell</t>
  </si>
  <si>
    <t>Name</t>
  </si>
  <si>
    <t>Final</t>
  </si>
  <si>
    <t>Value</t>
  </si>
  <si>
    <t>Reduced</t>
  </si>
  <si>
    <t>Gradient</t>
  </si>
  <si>
    <t>Constraints</t>
  </si>
  <si>
    <t>Lagrange</t>
  </si>
  <si>
    <t>Multiplier</t>
  </si>
  <si>
    <t>B Empfohlen</t>
  </si>
  <si>
    <t>k Empfohlen</t>
  </si>
  <si>
    <t>w Empfohlen</t>
  </si>
  <si>
    <t>s Empfohlen</t>
  </si>
  <si>
    <t>r Empfohlen</t>
  </si>
  <si>
    <t>h Empfohlen</t>
  </si>
  <si>
    <t>L Empfohlen</t>
  </si>
  <si>
    <t>Wie Empfohlen</t>
  </si>
  <si>
    <t>Ess Empfohlen</t>
  </si>
  <si>
    <t>Se Empfohlen</t>
  </si>
  <si>
    <t>Za Empfohlen</t>
  </si>
  <si>
    <t>Gr Empfohlen</t>
  </si>
  <si>
    <t>Sk Empfohlen</t>
  </si>
  <si>
    <t>Ke Empfohlen</t>
  </si>
  <si>
    <t>Afri Empfohlen</t>
  </si>
  <si>
    <t>Pl Empfohlen</t>
  </si>
  <si>
    <t>$C$37</t>
  </si>
  <si>
    <t>$C$18</t>
  </si>
  <si>
    <t>eingrenzen</t>
  </si>
  <si>
    <t>cashflow</t>
  </si>
  <si>
    <t>Ersparnis</t>
  </si>
  <si>
    <t>p.a.</t>
  </si>
  <si>
    <t>einmalig</t>
  </si>
  <si>
    <t>Microsoft Excel 9.0 Limits Report</t>
  </si>
  <si>
    <t>Report Created: 22.09.2003 14:03:13</t>
  </si>
  <si>
    <t>Target</t>
  </si>
  <si>
    <t>Adjustable</t>
  </si>
  <si>
    <t>Lower</t>
  </si>
  <si>
    <t>Limit</t>
  </si>
  <si>
    <t>Result</t>
  </si>
  <si>
    <t>Upper</t>
  </si>
  <si>
    <t>$M$18</t>
  </si>
  <si>
    <t>KünfiesGehp.a.</t>
  </si>
  <si>
    <t>Std.Lohn</t>
  </si>
  <si>
    <t>Gesamtsumme</t>
  </si>
  <si>
    <t>in %</t>
  </si>
  <si>
    <t>Vollzeit-Kräfte</t>
  </si>
  <si>
    <t>GF-Lösung</t>
  </si>
  <si>
    <t>Solver-Lösung</t>
  </si>
  <si>
    <t>Vor der Einsparung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</si>
</sst>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0000000"/>
    <numFmt numFmtId="169" formatCode="0.0000000"/>
  </numFmts>
  <fonts count="44">
    <font>
      <sz val="12"/>
      <name val="Times New Roman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color indexed="9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18"/>
      <name val="Times New Roman"/>
      <family val="0"/>
    </font>
    <font>
      <sz val="11"/>
      <color indexed="9"/>
      <name val="Times New Roman"/>
      <family val="0"/>
    </font>
    <font>
      <sz val="8"/>
      <name val="Times New Roman"/>
      <family val="1"/>
    </font>
    <font>
      <sz val="12"/>
      <color indexed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4" fontId="0" fillId="0" borderId="13" xfId="0" applyNumberFormat="1" applyFill="1" applyBorder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4" fontId="2" fillId="36" borderId="0" xfId="0" applyNumberFormat="1" applyFont="1" applyFill="1" applyAlignment="1">
      <alignment/>
    </xf>
    <xf numFmtId="2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43" fontId="0" fillId="38" borderId="0" xfId="46" applyFont="1" applyFill="1" applyAlignment="1">
      <alignment/>
    </xf>
    <xf numFmtId="43" fontId="0" fillId="0" borderId="0" xfId="46" applyFont="1" applyAlignment="1">
      <alignment/>
    </xf>
    <xf numFmtId="0" fontId="1" fillId="0" borderId="0" xfId="0" applyFont="1" applyFill="1" applyAlignment="1">
      <alignment/>
    </xf>
    <xf numFmtId="0" fontId="0" fillId="39" borderId="0" xfId="0" applyFont="1" applyFill="1" applyAlignment="1">
      <alignment/>
    </xf>
    <xf numFmtId="0" fontId="1" fillId="40" borderId="0" xfId="0" applyFont="1" applyFill="1" applyAlignment="1">
      <alignment/>
    </xf>
    <xf numFmtId="2" fontId="0" fillId="41" borderId="0" xfId="0" applyNumberFormat="1" applyFill="1" applyAlignment="1">
      <alignment/>
    </xf>
    <xf numFmtId="0" fontId="0" fillId="42" borderId="0" xfId="0" applyFill="1" applyAlignment="1">
      <alignment/>
    </xf>
    <xf numFmtId="2" fontId="0" fillId="42" borderId="0" xfId="0" applyNumberFormat="1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4" fontId="9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F16" sqref="F16"/>
    </sheetView>
  </sheetViews>
  <sheetFormatPr defaultColWidth="11.00390625" defaultRowHeight="15.75"/>
  <cols>
    <col min="1" max="1" width="10.875" style="0" customWidth="1"/>
    <col min="2" max="2" width="9.875" style="0" customWidth="1"/>
    <col min="3" max="3" width="11.375" style="0" customWidth="1"/>
    <col min="4" max="4" width="27.25390625" style="0" customWidth="1"/>
    <col min="6" max="6" width="24.375" style="0" bestFit="1" customWidth="1"/>
  </cols>
  <sheetData>
    <row r="2" spans="11:12" ht="15.75">
      <c r="K2" s="2"/>
      <c r="L2" s="2"/>
    </row>
    <row r="3" spans="2:12" ht="15.75">
      <c r="B3" s="21">
        <f>PV(6,10,5000,60000,0)</f>
        <v>-833.3335427912128</v>
      </c>
      <c r="G3" s="21">
        <f>NPV(10,H3,H4,H5,H6)</f>
        <v>101.23632265555631</v>
      </c>
      <c r="H3">
        <v>1200</v>
      </c>
      <c r="K3" s="2"/>
      <c r="L3" s="2"/>
    </row>
    <row r="4" spans="8:12" ht="15.75">
      <c r="H4">
        <v>-990</v>
      </c>
      <c r="K4" s="2"/>
      <c r="L4" s="2"/>
    </row>
    <row r="5" spans="4:12" ht="15.75">
      <c r="D5" s="21">
        <f>PV(10,10,1200)</f>
        <v>-119.99999999537349</v>
      </c>
      <c r="H5">
        <v>467</v>
      </c>
      <c r="K5" s="2"/>
      <c r="L5" s="2"/>
    </row>
    <row r="6" spans="8:12" ht="15.75">
      <c r="H6">
        <v>-346</v>
      </c>
      <c r="K6" s="2"/>
      <c r="L6" s="2"/>
    </row>
    <row r="7" spans="8:12" ht="15.75">
      <c r="H7">
        <f>SUM(H3:H6)</f>
        <v>331</v>
      </c>
      <c r="K7" s="2"/>
      <c r="L7" s="2"/>
    </row>
    <row r="8" spans="4:12" ht="15.75">
      <c r="D8" s="21">
        <f>PV(10,100,1200,7678876,0)</f>
        <v>-120.00000000000001</v>
      </c>
      <c r="F8" s="21">
        <f>NPV(10,1200,-990,458,-465)</f>
        <v>101.22143296222936</v>
      </c>
      <c r="K8" s="2"/>
      <c r="L8" s="2"/>
    </row>
    <row r="9" spans="11:12" ht="15.75">
      <c r="K9" s="2"/>
      <c r="L9" s="2"/>
    </row>
    <row r="10" spans="8:12" ht="15.75">
      <c r="H10" s="21">
        <f>PV(10,12,100,200,0)</f>
        <v>-10.00000000006054</v>
      </c>
      <c r="K10" s="2"/>
      <c r="L10" s="2"/>
    </row>
    <row r="11" spans="6:12" ht="15.75">
      <c r="F11" s="21">
        <f>FV(10,12,200,234,32)</f>
        <v>-1424846483031114</v>
      </c>
      <c r="K11" s="2"/>
      <c r="L11" s="2"/>
    </row>
    <row r="12" spans="11:12" ht="15.75">
      <c r="K12" s="2"/>
      <c r="L12" s="2"/>
    </row>
    <row r="13" spans="11:12" ht="15.75">
      <c r="K13" s="2"/>
      <c r="L13" s="2"/>
    </row>
    <row r="14" spans="4:12" ht="15.75">
      <c r="D14" t="e">
        <f>NPER(10,20,1000,1200,1)</f>
        <v>#NUM!</v>
      </c>
      <c r="K14" s="2"/>
      <c r="L14" s="2"/>
    </row>
    <row r="15" spans="11:12" ht="15.75">
      <c r="K15" s="2"/>
      <c r="L15" s="2"/>
    </row>
    <row r="16" spans="6:12" ht="15.75">
      <c r="F16" s="21">
        <f>NPV(10,1000,-500)</f>
        <v>86.77685950413223</v>
      </c>
      <c r="K16" s="2"/>
      <c r="L16" s="2"/>
    </row>
    <row r="17" spans="11:12" ht="15.75">
      <c r="K17" s="2"/>
      <c r="L17" s="2"/>
    </row>
    <row r="18" spans="4:12" ht="15.75">
      <c r="D18" s="21">
        <f>PV(1.1,10,-1200,12000,0)</f>
        <v>1083.06076806553</v>
      </c>
      <c r="F18" s="5"/>
      <c r="G18" s="5"/>
      <c r="H18" s="5"/>
      <c r="I18" s="5"/>
      <c r="J18" s="5"/>
      <c r="K18" s="6"/>
      <c r="L18" s="5"/>
    </row>
    <row r="23" spans="9:12" ht="15.75">
      <c r="I23" t="s">
        <v>33</v>
      </c>
      <c r="J23">
        <v>3</v>
      </c>
      <c r="L23">
        <v>594288.16</v>
      </c>
    </row>
    <row r="24" ht="15.75">
      <c r="L24" s="6">
        <f>L18-L23</f>
        <v>-594288.16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E11" sqref="E11"/>
    </sheetView>
  </sheetViews>
  <sheetFormatPr defaultColWidth="11.00390625" defaultRowHeight="15.75"/>
  <sheetData>
    <row r="2" spans="4:5" ht="15.75">
      <c r="D2">
        <v>0.2</v>
      </c>
      <c r="E2" t="s">
        <v>6</v>
      </c>
    </row>
    <row r="4" spans="1:5" ht="15.75">
      <c r="A4" t="s">
        <v>2</v>
      </c>
      <c r="B4" t="s">
        <v>3</v>
      </c>
      <c r="C4" t="s">
        <v>1</v>
      </c>
      <c r="D4" t="s">
        <v>4</v>
      </c>
      <c r="E4" t="s">
        <v>5</v>
      </c>
    </row>
    <row r="5" spans="1:5" ht="15.75">
      <c r="A5">
        <v>4</v>
      </c>
      <c r="B5">
        <v>4</v>
      </c>
      <c r="C5">
        <v>31000</v>
      </c>
      <c r="D5">
        <f>(B5*C5)*D2</f>
        <v>24800</v>
      </c>
      <c r="E5">
        <f>D5+((A5-B5)*(C5/2))</f>
        <v>24800</v>
      </c>
    </row>
    <row r="6" spans="1:6" ht="15.75">
      <c r="A6">
        <v>2</v>
      </c>
      <c r="B6">
        <v>0</v>
      </c>
      <c r="C6">
        <v>30000</v>
      </c>
      <c r="D6">
        <f>(B6*C6)*D2</f>
        <v>0</v>
      </c>
      <c r="E6">
        <f>D6</f>
        <v>0</v>
      </c>
      <c r="F6" t="s">
        <v>7</v>
      </c>
    </row>
    <row r="7" spans="1:6" ht="15.75">
      <c r="A7">
        <v>4</v>
      </c>
      <c r="B7">
        <v>4</v>
      </c>
      <c r="C7">
        <v>29000</v>
      </c>
      <c r="D7">
        <f>(B7*C7)*D2</f>
        <v>23200</v>
      </c>
      <c r="E7">
        <f>D7</f>
        <v>23200</v>
      </c>
      <c r="F7" t="s">
        <v>7</v>
      </c>
    </row>
    <row r="8" spans="1:6" ht="15.75">
      <c r="A8">
        <v>6</v>
      </c>
      <c r="B8">
        <v>5</v>
      </c>
      <c r="C8">
        <v>29500</v>
      </c>
      <c r="D8">
        <f>(B8*C8)*D2</f>
        <v>29500</v>
      </c>
      <c r="E8">
        <f>D8</f>
        <v>29500</v>
      </c>
      <c r="F8" t="s">
        <v>7</v>
      </c>
    </row>
    <row r="9" spans="1:5" ht="15.75">
      <c r="A9">
        <v>2</v>
      </c>
      <c r="B9">
        <v>2</v>
      </c>
      <c r="C9">
        <v>28000</v>
      </c>
      <c r="D9">
        <f>(B9*C9)*D2</f>
        <v>11200</v>
      </c>
      <c r="E9">
        <f>D9+((A9-B9)*(C9/4))</f>
        <v>11200</v>
      </c>
    </row>
    <row r="10" spans="1:5" ht="15.75">
      <c r="A10">
        <v>13</v>
      </c>
      <c r="B10">
        <v>13</v>
      </c>
      <c r="C10">
        <v>26000</v>
      </c>
      <c r="D10">
        <f>(B10*C10)*D2</f>
        <v>67600</v>
      </c>
      <c r="E10" s="2">
        <f>D10+((A10-B10)*(C10/6))</f>
        <v>67600</v>
      </c>
    </row>
    <row r="11" spans="1:7" ht="15.75">
      <c r="A11">
        <f>SUM(A5:A10)</f>
        <v>31</v>
      </c>
      <c r="B11" s="1">
        <f>SUM(B5:B10)</f>
        <v>28</v>
      </c>
      <c r="D11" s="4">
        <f>SUM(D5:D10)</f>
        <v>156300</v>
      </c>
      <c r="E11" s="3">
        <f>SUM(E5:E10)</f>
        <v>156300</v>
      </c>
      <c r="G11" s="2">
        <f>E11-F11</f>
        <v>156300</v>
      </c>
    </row>
    <row r="14" ht="15.75">
      <c r="E14" s="3"/>
    </row>
    <row r="16" ht="15.75">
      <c r="C16">
        <v>0.019</v>
      </c>
    </row>
    <row r="17" spans="3:4" ht="15.75">
      <c r="C17">
        <v>2400</v>
      </c>
      <c r="D17">
        <f>C17/60</f>
        <v>40</v>
      </c>
    </row>
    <row r="18" ht="15.75">
      <c r="C18">
        <f>C16*C17</f>
        <v>45.6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I26"/>
  <sheetViews>
    <sheetView showGridLines="0" zoomScalePageLayoutView="0" workbookViewId="0" topLeftCell="A1">
      <selection activeCell="A1" sqref="A1"/>
    </sheetView>
  </sheetViews>
  <sheetFormatPr defaultColWidth="11.00390625" defaultRowHeight="15.75" outlineLevelRow="1" outlineLevelCol="1"/>
  <cols>
    <col min="3" max="3" width="6.25390625" style="0" customWidth="1"/>
    <col min="4" max="9" width="12.50390625" style="0" bestFit="1" customWidth="1" outlineLevel="1"/>
  </cols>
  <sheetData>
    <row r="1" ht="16.5" thickBot="1"/>
    <row r="2" spans="2:9" ht="18.75">
      <c r="B2" s="11" t="s">
        <v>52</v>
      </c>
      <c r="C2" s="11"/>
      <c r="D2" s="16"/>
      <c r="E2" s="16"/>
      <c r="F2" s="16"/>
      <c r="G2" s="16"/>
      <c r="H2" s="16"/>
      <c r="I2" s="16"/>
    </row>
    <row r="3" spans="2:9" ht="18.75" collapsed="1">
      <c r="B3" s="10"/>
      <c r="C3" s="10"/>
      <c r="D3" s="17" t="s">
        <v>54</v>
      </c>
      <c r="E3" s="17">
        <v>4.5</v>
      </c>
      <c r="F3" s="17">
        <v>3</v>
      </c>
      <c r="G3" s="17">
        <v>2</v>
      </c>
      <c r="H3" s="17">
        <v>1</v>
      </c>
      <c r="I3" s="17">
        <v>5</v>
      </c>
    </row>
    <row r="4" spans="2:9" ht="22.5" hidden="1" outlineLevel="1">
      <c r="B4" s="13"/>
      <c r="C4" s="13"/>
      <c r="D4" s="9"/>
      <c r="E4" s="19" t="s">
        <v>51</v>
      </c>
      <c r="F4" s="19" t="s">
        <v>51</v>
      </c>
      <c r="G4" s="19" t="s">
        <v>51</v>
      </c>
      <c r="H4" s="19" t="s">
        <v>51</v>
      </c>
      <c r="I4" s="19" t="s">
        <v>51</v>
      </c>
    </row>
    <row r="5" spans="2:9" ht="15.75">
      <c r="B5" s="14" t="s">
        <v>53</v>
      </c>
      <c r="C5" s="14"/>
      <c r="D5" s="12"/>
      <c r="E5" s="12"/>
      <c r="F5" s="12"/>
      <c r="G5" s="12"/>
      <c r="H5" s="12"/>
      <c r="I5" s="12"/>
    </row>
    <row r="6" spans="2:9" ht="15.75" outlineLevel="1">
      <c r="B6" s="13"/>
      <c r="C6" s="13" t="s">
        <v>35</v>
      </c>
      <c r="D6" s="9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</row>
    <row r="7" spans="2:9" ht="15.75" outlineLevel="1">
      <c r="B7" s="13"/>
      <c r="C7" s="13" t="s">
        <v>36</v>
      </c>
      <c r="D7" s="9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</row>
    <row r="8" spans="2:9" ht="15.75" outlineLevel="1">
      <c r="B8" s="13"/>
      <c r="C8" s="13" t="s">
        <v>37</v>
      </c>
      <c r="D8" s="9">
        <v>1</v>
      </c>
      <c r="E8" s="18">
        <v>0</v>
      </c>
      <c r="F8" s="18">
        <v>0</v>
      </c>
      <c r="G8" s="18">
        <v>0</v>
      </c>
      <c r="H8" s="18">
        <v>1</v>
      </c>
      <c r="I8" s="18">
        <v>1</v>
      </c>
    </row>
    <row r="9" spans="2:9" ht="15.75" outlineLevel="1">
      <c r="B9" s="13"/>
      <c r="C9" s="13" t="s">
        <v>38</v>
      </c>
      <c r="D9" s="9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</row>
    <row r="10" spans="2:9" ht="15.75" outlineLevel="1">
      <c r="B10" s="13"/>
      <c r="C10" s="13" t="s">
        <v>39</v>
      </c>
      <c r="D10" s="9">
        <v>1</v>
      </c>
      <c r="E10" s="18">
        <v>0</v>
      </c>
      <c r="F10" s="18">
        <v>0</v>
      </c>
      <c r="G10" s="18">
        <v>1</v>
      </c>
      <c r="H10" s="18">
        <v>1</v>
      </c>
      <c r="I10" s="18">
        <v>1</v>
      </c>
    </row>
    <row r="11" spans="2:9" ht="15.75" outlineLevel="1">
      <c r="B11" s="13"/>
      <c r="C11" s="13" t="s">
        <v>40</v>
      </c>
      <c r="D11" s="9">
        <v>1</v>
      </c>
      <c r="E11" s="18">
        <v>0</v>
      </c>
      <c r="F11" s="18">
        <v>0</v>
      </c>
      <c r="G11" s="18">
        <v>0</v>
      </c>
      <c r="H11" s="18">
        <v>1</v>
      </c>
      <c r="I11" s="18">
        <v>1</v>
      </c>
    </row>
    <row r="12" spans="2:9" ht="15.75" outlineLevel="1">
      <c r="B12" s="13"/>
      <c r="C12" s="13" t="s">
        <v>41</v>
      </c>
      <c r="D12" s="9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2:9" ht="15.75" outlineLevel="1">
      <c r="B13" s="13"/>
      <c r="C13" s="13" t="s">
        <v>42</v>
      </c>
      <c r="D13" s="9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2:9" ht="15.75" outlineLevel="1">
      <c r="B14" s="13"/>
      <c r="C14" s="13" t="s">
        <v>43</v>
      </c>
      <c r="D14" s="9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</row>
    <row r="15" spans="2:9" ht="15.75" outlineLevel="1">
      <c r="B15" s="13"/>
      <c r="C15" s="13" t="s">
        <v>44</v>
      </c>
      <c r="D15" s="9">
        <v>0</v>
      </c>
      <c r="E15" s="18">
        <v>1</v>
      </c>
      <c r="F15" s="18">
        <v>1</v>
      </c>
      <c r="G15" s="18">
        <v>0</v>
      </c>
      <c r="H15" s="18">
        <v>0</v>
      </c>
      <c r="I15" s="18">
        <v>0</v>
      </c>
    </row>
    <row r="16" spans="2:9" ht="15.75" outlineLevel="1">
      <c r="B16" s="13"/>
      <c r="C16" s="13" t="s">
        <v>45</v>
      </c>
      <c r="D16" s="9">
        <v>0</v>
      </c>
      <c r="E16" s="18">
        <v>1</v>
      </c>
      <c r="F16" s="18">
        <v>1</v>
      </c>
      <c r="G16" s="18">
        <v>1</v>
      </c>
      <c r="H16" s="18">
        <v>0</v>
      </c>
      <c r="I16" s="18">
        <v>0</v>
      </c>
    </row>
    <row r="17" spans="2:9" ht="15.75" outlineLevel="1">
      <c r="B17" s="13"/>
      <c r="C17" s="13" t="s">
        <v>46</v>
      </c>
      <c r="D17" s="9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</row>
    <row r="18" spans="2:9" ht="15.75" outlineLevel="1">
      <c r="B18" s="13"/>
      <c r="C18" s="13" t="s">
        <v>47</v>
      </c>
      <c r="D18" s="9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</row>
    <row r="19" spans="2:9" ht="15.75" outlineLevel="1">
      <c r="B19" s="13"/>
      <c r="C19" s="13" t="s">
        <v>48</v>
      </c>
      <c r="D19" s="9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</row>
    <row r="20" spans="2:9" ht="15.75" outlineLevel="1">
      <c r="B20" s="13"/>
      <c r="C20" s="13" t="s">
        <v>49</v>
      </c>
      <c r="D20" s="9">
        <v>1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</row>
    <row r="21" spans="2:9" ht="15.75" outlineLevel="1">
      <c r="B21" s="13"/>
      <c r="C21" s="13" t="s">
        <v>50</v>
      </c>
      <c r="D21" s="9">
        <v>0</v>
      </c>
      <c r="E21" s="18">
        <v>1</v>
      </c>
      <c r="F21" s="18">
        <v>1</v>
      </c>
      <c r="G21" s="18">
        <v>1</v>
      </c>
      <c r="H21" s="18">
        <v>0</v>
      </c>
      <c r="I21" s="18">
        <v>0</v>
      </c>
    </row>
    <row r="22" spans="2:9" ht="15.75">
      <c r="B22" s="14" t="s">
        <v>55</v>
      </c>
      <c r="C22" s="14"/>
      <c r="D22" s="12"/>
      <c r="E22" s="12"/>
      <c r="F22" s="12"/>
      <c r="G22" s="12"/>
      <c r="H22" s="12"/>
      <c r="I22" s="12"/>
    </row>
    <row r="23" spans="2:9" ht="16.5" outlineLevel="1" thickBot="1">
      <c r="B23" s="15"/>
      <c r="C23" s="15" t="s">
        <v>59</v>
      </c>
      <c r="D23" s="20">
        <v>123879.785625</v>
      </c>
      <c r="E23" s="20">
        <v>159988.67125</v>
      </c>
      <c r="F23" s="20">
        <v>159988.67125</v>
      </c>
      <c r="G23" s="20">
        <v>149198.6925</v>
      </c>
      <c r="H23" s="20">
        <v>123879.785625</v>
      </c>
      <c r="I23" s="20">
        <v>123879.785625</v>
      </c>
    </row>
    <row r="24" ht="15.75">
      <c r="B24" t="s">
        <v>56</v>
      </c>
    </row>
    <row r="25" ht="15.75">
      <c r="B25" t="s">
        <v>57</v>
      </c>
    </row>
    <row r="26" ht="15.75">
      <c r="B26" t="s">
        <v>58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A1" sqref="A1:A3"/>
    </sheetView>
  </sheetViews>
  <sheetFormatPr defaultColWidth="11.00390625" defaultRowHeight="15.75"/>
  <cols>
    <col min="1" max="1" width="2.125" style="0" customWidth="1"/>
    <col min="2" max="2" width="6.25390625" style="0" bestFit="1" customWidth="1"/>
    <col min="3" max="3" width="12.50390625" style="0" bestFit="1" customWidth="1"/>
    <col min="4" max="4" width="11.875" style="0" bestFit="1" customWidth="1"/>
    <col min="5" max="5" width="12.625" style="0" bestFit="1" customWidth="1"/>
  </cols>
  <sheetData>
    <row r="1" ht="15.75">
      <c r="A1" s="1" t="s">
        <v>60</v>
      </c>
    </row>
    <row r="2" ht="15.75">
      <c r="A2" s="1" t="s">
        <v>61</v>
      </c>
    </row>
    <row r="3" ht="15.75">
      <c r="A3" s="1" t="s">
        <v>62</v>
      </c>
    </row>
    <row r="6" ht="15.75">
      <c r="A6" t="s">
        <v>63</v>
      </c>
    </row>
    <row r="7" spans="2:5" ht="15.75">
      <c r="B7" s="22"/>
      <c r="C7" s="22"/>
      <c r="D7" s="22" t="s">
        <v>66</v>
      </c>
      <c r="E7" s="22" t="s">
        <v>68</v>
      </c>
    </row>
    <row r="8" spans="2:5" ht="15.75">
      <c r="B8" s="22" t="s">
        <v>64</v>
      </c>
      <c r="C8" s="22" t="s">
        <v>65</v>
      </c>
      <c r="D8" s="22" t="s">
        <v>67</v>
      </c>
      <c r="E8" s="22" t="s">
        <v>69</v>
      </c>
    </row>
    <row r="9" spans="2:5" ht="15.75">
      <c r="B9" s="22" t="s">
        <v>35</v>
      </c>
      <c r="C9" s="22" t="s">
        <v>73</v>
      </c>
      <c r="D9" s="22">
        <v>1</v>
      </c>
      <c r="E9" s="22">
        <v>-37695.0465795362</v>
      </c>
    </row>
    <row r="10" spans="2:5" ht="15.75">
      <c r="B10" s="22" t="s">
        <v>36</v>
      </c>
      <c r="C10" s="22" t="s">
        <v>74</v>
      </c>
      <c r="D10" s="22">
        <v>1</v>
      </c>
      <c r="E10" s="22">
        <v>-24513.657744107528</v>
      </c>
    </row>
    <row r="11" spans="2:5" ht="15.75">
      <c r="B11" s="22" t="s">
        <v>37</v>
      </c>
      <c r="C11" s="22" t="s">
        <v>75</v>
      </c>
      <c r="D11" s="22">
        <v>1</v>
      </c>
      <c r="E11" s="22">
        <v>-4613.14689070346</v>
      </c>
    </row>
    <row r="12" spans="2:5" ht="15.75">
      <c r="B12" s="22" t="s">
        <v>38</v>
      </c>
      <c r="C12" s="22" t="s">
        <v>76</v>
      </c>
      <c r="D12" s="22">
        <v>0</v>
      </c>
      <c r="E12" s="22">
        <v>3151.7774345941452</v>
      </c>
    </row>
    <row r="13" spans="2:5" ht="15.75">
      <c r="B13" s="22" t="s">
        <v>39</v>
      </c>
      <c r="C13" s="22" t="s">
        <v>77</v>
      </c>
      <c r="D13" s="22">
        <v>1</v>
      </c>
      <c r="E13" s="22">
        <v>-6772.177577633598</v>
      </c>
    </row>
    <row r="14" spans="2:5" ht="15.75">
      <c r="B14" s="22" t="s">
        <v>40</v>
      </c>
      <c r="C14" s="22" t="s">
        <v>78</v>
      </c>
      <c r="D14" s="22">
        <v>0.23376619774838944</v>
      </c>
      <c r="E14" s="22">
        <v>0</v>
      </c>
    </row>
    <row r="15" spans="2:5" ht="15.75">
      <c r="B15" s="22" t="s">
        <v>41</v>
      </c>
      <c r="C15" s="22" t="s">
        <v>79</v>
      </c>
      <c r="D15" s="22">
        <v>0</v>
      </c>
      <c r="E15" s="22">
        <v>5215.438241637535</v>
      </c>
    </row>
    <row r="16" spans="2:5" ht="15.75">
      <c r="B16" s="22" t="s">
        <v>42</v>
      </c>
      <c r="C16" s="22" t="s">
        <v>80</v>
      </c>
      <c r="D16" s="22">
        <v>0</v>
      </c>
      <c r="E16" s="22">
        <v>1190.4152978377028</v>
      </c>
    </row>
    <row r="17" spans="2:5" ht="15.75">
      <c r="B17" s="22" t="s">
        <v>43</v>
      </c>
      <c r="C17" s="22" t="s">
        <v>81</v>
      </c>
      <c r="D17" s="22">
        <v>1</v>
      </c>
      <c r="E17" s="22">
        <v>-37552.26123534922</v>
      </c>
    </row>
    <row r="18" spans="2:5" ht="15.75">
      <c r="B18" s="22" t="s">
        <v>44</v>
      </c>
      <c r="C18" s="22" t="s">
        <v>82</v>
      </c>
      <c r="D18" s="22">
        <v>1</v>
      </c>
      <c r="E18" s="22">
        <v>-5570.814330860871</v>
      </c>
    </row>
    <row r="19" spans="2:5" ht="15.75">
      <c r="B19" s="22" t="s">
        <v>45</v>
      </c>
      <c r="C19" s="22" t="s">
        <v>83</v>
      </c>
      <c r="D19" s="22">
        <v>1</v>
      </c>
      <c r="E19" s="22">
        <v>-6248.733389721917</v>
      </c>
    </row>
    <row r="20" spans="2:5" ht="15.75">
      <c r="B20" s="22" t="s">
        <v>46</v>
      </c>
      <c r="C20" s="22" t="s">
        <v>84</v>
      </c>
      <c r="D20" s="22">
        <v>1</v>
      </c>
      <c r="E20" s="22">
        <v>-4011.34315873439</v>
      </c>
    </row>
    <row r="21" spans="2:5" ht="15.75">
      <c r="B21" s="22" t="s">
        <v>47</v>
      </c>
      <c r="C21" s="22" t="s">
        <v>85</v>
      </c>
      <c r="D21" s="22">
        <v>1</v>
      </c>
      <c r="E21" s="22">
        <v>-7962.868662349215</v>
      </c>
    </row>
    <row r="22" spans="2:5" ht="15.75">
      <c r="B22" s="22" t="s">
        <v>48</v>
      </c>
      <c r="C22" s="22" t="s">
        <v>86</v>
      </c>
      <c r="D22" s="22">
        <v>1</v>
      </c>
      <c r="E22" s="22">
        <v>-3012.456152586881</v>
      </c>
    </row>
    <row r="23" spans="2:5" ht="15.75">
      <c r="B23" s="22" t="s">
        <v>49</v>
      </c>
      <c r="C23" s="22" t="s">
        <v>87</v>
      </c>
      <c r="D23" s="22">
        <v>1</v>
      </c>
      <c r="E23" s="22">
        <v>-1239.7922934589176</v>
      </c>
    </row>
    <row r="24" spans="2:5" ht="15.75">
      <c r="B24" s="22" t="s">
        <v>50</v>
      </c>
      <c r="C24" s="22" t="s">
        <v>88</v>
      </c>
      <c r="D24" s="22">
        <v>1</v>
      </c>
      <c r="E24" s="22">
        <v>-9900.642807805043</v>
      </c>
    </row>
    <row r="26" ht="15.75">
      <c r="A26" t="s">
        <v>70</v>
      </c>
    </row>
    <row r="27" spans="2:5" ht="15.75">
      <c r="B27" s="22"/>
      <c r="C27" s="22"/>
      <c r="D27" s="22" t="s">
        <v>66</v>
      </c>
      <c r="E27" s="22" t="s">
        <v>71</v>
      </c>
    </row>
    <row r="28" spans="2:5" ht="15.75">
      <c r="B28" s="22" t="s">
        <v>64</v>
      </c>
      <c r="C28" s="22" t="s">
        <v>65</v>
      </c>
      <c r="D28" s="22" t="s">
        <v>67</v>
      </c>
      <c r="E28" s="22" t="s">
        <v>72</v>
      </c>
    </row>
    <row r="29" spans="2:5" ht="15.75">
      <c r="B29" s="22" t="s">
        <v>89</v>
      </c>
      <c r="C29" s="22" t="s">
        <v>32</v>
      </c>
      <c r="D29" s="22">
        <v>384.999998613313</v>
      </c>
      <c r="E29" s="22">
        <v>1494.4301741700374</v>
      </c>
    </row>
    <row r="30" spans="2:5" ht="15.75">
      <c r="B30" s="22" t="s">
        <v>90</v>
      </c>
      <c r="C30" s="22" t="s">
        <v>32</v>
      </c>
      <c r="D30" s="22">
        <v>12.23376619774839</v>
      </c>
      <c r="E30" s="22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2">
      <selection activeCell="A1" sqref="A1:A3"/>
    </sheetView>
  </sheetViews>
  <sheetFormatPr defaultColWidth="11.00390625" defaultRowHeight="15.75"/>
  <cols>
    <col min="1" max="1" width="2.125" style="0" customWidth="1"/>
    <col min="2" max="2" width="6.625" style="0" bestFit="1" customWidth="1"/>
    <col min="3" max="3" width="12.50390625" style="0" bestFit="1" customWidth="1"/>
    <col min="4" max="4" width="11.875" style="0" bestFit="1" customWidth="1"/>
    <col min="5" max="5" width="2.125" style="0" customWidth="1"/>
    <col min="6" max="7" width="11.875" style="0" bestFit="1" customWidth="1"/>
    <col min="8" max="8" width="2.125" style="0" customWidth="1"/>
    <col min="9" max="9" width="5.75390625" style="0" bestFit="1" customWidth="1"/>
    <col min="10" max="10" width="11.875" style="0" bestFit="1" customWidth="1"/>
  </cols>
  <sheetData>
    <row r="1" ht="15.75">
      <c r="A1" s="1" t="s">
        <v>96</v>
      </c>
    </row>
    <row r="2" ht="15.75">
      <c r="A2" s="1" t="s">
        <v>61</v>
      </c>
    </row>
    <row r="3" ht="15.75">
      <c r="A3" s="1" t="s">
        <v>97</v>
      </c>
    </row>
    <row r="6" spans="2:4" ht="15.75">
      <c r="B6" s="22"/>
      <c r="C6" s="22" t="s">
        <v>98</v>
      </c>
      <c r="D6" s="22"/>
    </row>
    <row r="7" spans="2:4" ht="15.75">
      <c r="B7" s="22" t="s">
        <v>64</v>
      </c>
      <c r="C7" s="22" t="s">
        <v>65</v>
      </c>
      <c r="D7" s="22" t="s">
        <v>67</v>
      </c>
    </row>
    <row r="8" spans="2:4" ht="15.75">
      <c r="B8" s="22" t="s">
        <v>104</v>
      </c>
      <c r="C8" s="22"/>
      <c r="D8" s="29">
        <v>677867.9909073724</v>
      </c>
    </row>
    <row r="11" spans="2:10" ht="15.75">
      <c r="B11" s="22"/>
      <c r="C11" s="22" t="s">
        <v>99</v>
      </c>
      <c r="D11" s="22"/>
      <c r="F11" s="22" t="s">
        <v>100</v>
      </c>
      <c r="G11" s="22" t="s">
        <v>98</v>
      </c>
      <c r="I11" s="22" t="s">
        <v>103</v>
      </c>
      <c r="J11" s="22" t="s">
        <v>98</v>
      </c>
    </row>
    <row r="12" spans="2:10" ht="15.75">
      <c r="B12" s="22" t="s">
        <v>64</v>
      </c>
      <c r="C12" s="22" t="s">
        <v>65</v>
      </c>
      <c r="D12" s="22" t="s">
        <v>67</v>
      </c>
      <c r="F12" s="22" t="s">
        <v>101</v>
      </c>
      <c r="G12" s="22" t="s">
        <v>102</v>
      </c>
      <c r="I12" s="22" t="s">
        <v>101</v>
      </c>
      <c r="J12" s="22" t="s">
        <v>102</v>
      </c>
    </row>
    <row r="13" spans="2:10" ht="15.75">
      <c r="B13" s="22" t="s">
        <v>35</v>
      </c>
      <c r="C13" s="22" t="s">
        <v>73</v>
      </c>
      <c r="D13" s="22">
        <v>1</v>
      </c>
      <c r="F13" s="22">
        <v>1</v>
      </c>
      <c r="G13" s="22">
        <v>677867.9909073724</v>
      </c>
      <c r="I13" s="22">
        <v>1</v>
      </c>
      <c r="J13" s="22">
        <v>677867.9909073724</v>
      </c>
    </row>
    <row r="14" spans="2:10" ht="15.75">
      <c r="B14" s="22" t="s">
        <v>36</v>
      </c>
      <c r="C14" s="22" t="s">
        <v>74</v>
      </c>
      <c r="D14" s="22">
        <v>1</v>
      </c>
      <c r="F14" s="22">
        <v>1</v>
      </c>
      <c r="G14" s="22">
        <v>677867.9909073724</v>
      </c>
      <c r="I14" s="22">
        <v>1</v>
      </c>
      <c r="J14" s="22">
        <v>677867.9909073724</v>
      </c>
    </row>
    <row r="15" spans="2:10" ht="15.75">
      <c r="B15" s="22" t="s">
        <v>37</v>
      </c>
      <c r="C15" s="22" t="s">
        <v>75</v>
      </c>
      <c r="D15" s="22">
        <v>1</v>
      </c>
      <c r="F15" s="22">
        <v>1</v>
      </c>
      <c r="G15" s="22">
        <v>677867.9909073724</v>
      </c>
      <c r="I15" s="22">
        <v>1</v>
      </c>
      <c r="J15" s="22">
        <v>677867.9909073724</v>
      </c>
    </row>
    <row r="16" spans="2:10" ht="15.75">
      <c r="B16" s="22" t="s">
        <v>38</v>
      </c>
      <c r="C16" s="22" t="s">
        <v>76</v>
      </c>
      <c r="D16" s="22">
        <v>0</v>
      </c>
      <c r="F16" s="22">
        <v>0</v>
      </c>
      <c r="G16" s="22">
        <v>677867.9909073724</v>
      </c>
      <c r="I16" s="22">
        <v>1</v>
      </c>
      <c r="J16" s="22">
        <v>755894.5709073724</v>
      </c>
    </row>
    <row r="17" spans="2:10" ht="15.75">
      <c r="B17" s="22" t="s">
        <v>39</v>
      </c>
      <c r="C17" s="22" t="s">
        <v>77</v>
      </c>
      <c r="D17" s="22">
        <v>1</v>
      </c>
      <c r="F17" s="22">
        <v>1</v>
      </c>
      <c r="G17" s="22">
        <v>677867.9909073724</v>
      </c>
      <c r="I17" s="22">
        <v>1</v>
      </c>
      <c r="J17" s="22">
        <v>677867.9909073724</v>
      </c>
    </row>
    <row r="18" spans="2:10" ht="15.75">
      <c r="B18" s="22" t="s">
        <v>40</v>
      </c>
      <c r="C18" s="22" t="s">
        <v>78</v>
      </c>
      <c r="D18" s="22">
        <v>0</v>
      </c>
      <c r="F18" s="22">
        <v>0</v>
      </c>
      <c r="G18" s="22">
        <v>677867.9909073724</v>
      </c>
      <c r="I18" s="22">
        <v>1</v>
      </c>
      <c r="J18" s="22">
        <v>753572.6784073724</v>
      </c>
    </row>
    <row r="19" spans="2:10" ht="15.75">
      <c r="B19" s="22" t="s">
        <v>41</v>
      </c>
      <c r="C19" s="22" t="s">
        <v>79</v>
      </c>
      <c r="D19" s="22">
        <v>0</v>
      </c>
      <c r="F19" s="22">
        <v>0</v>
      </c>
      <c r="G19" s="22">
        <v>677867.9909073724</v>
      </c>
      <c r="I19" s="22">
        <v>1</v>
      </c>
      <c r="J19" s="22">
        <v>757352.5909073724</v>
      </c>
    </row>
    <row r="20" spans="2:10" ht="15.75">
      <c r="B20" s="22" t="s">
        <v>42</v>
      </c>
      <c r="C20" s="22" t="s">
        <v>80</v>
      </c>
      <c r="D20" s="22">
        <v>0.23376620758044114</v>
      </c>
      <c r="F20" s="22">
        <v>0.23376620758044114</v>
      </c>
      <c r="G20" s="22">
        <v>677867.9909073724</v>
      </c>
      <c r="I20" s="22">
        <v>1</v>
      </c>
      <c r="J20" s="22">
        <v>734604.3825</v>
      </c>
    </row>
    <row r="21" spans="2:10" ht="15.75">
      <c r="B21" s="22" t="s">
        <v>43</v>
      </c>
      <c r="C21" s="22" t="s">
        <v>81</v>
      </c>
      <c r="D21" s="22">
        <v>1</v>
      </c>
      <c r="F21" s="22">
        <v>1</v>
      </c>
      <c r="G21" s="22">
        <v>677867.9909073724</v>
      </c>
      <c r="I21" s="22">
        <v>1</v>
      </c>
      <c r="J21" s="22">
        <v>677867.9909073724</v>
      </c>
    </row>
    <row r="22" spans="2:10" ht="15.75">
      <c r="B22" s="22" t="s">
        <v>44</v>
      </c>
      <c r="C22" s="22" t="s">
        <v>82</v>
      </c>
      <c r="D22" s="22">
        <v>1</v>
      </c>
      <c r="F22" s="22">
        <v>1</v>
      </c>
      <c r="G22" s="22">
        <v>677867.9909073724</v>
      </c>
      <c r="I22" s="22">
        <v>1</v>
      </c>
      <c r="J22" s="22">
        <v>677867.9909073724</v>
      </c>
    </row>
    <row r="23" spans="2:10" ht="15.75">
      <c r="B23" s="22" t="s">
        <v>45</v>
      </c>
      <c r="C23" s="22" t="s">
        <v>83</v>
      </c>
      <c r="D23" s="22">
        <v>1</v>
      </c>
      <c r="F23" s="22">
        <v>1</v>
      </c>
      <c r="G23" s="22">
        <v>677867.9909073724</v>
      </c>
      <c r="I23" s="22">
        <v>1</v>
      </c>
      <c r="J23" s="22">
        <v>677867.9909073724</v>
      </c>
    </row>
    <row r="24" spans="2:10" ht="15.75">
      <c r="B24" s="22" t="s">
        <v>46</v>
      </c>
      <c r="C24" s="22" t="s">
        <v>84</v>
      </c>
      <c r="D24" s="22">
        <v>1</v>
      </c>
      <c r="F24" s="22">
        <v>1</v>
      </c>
      <c r="G24" s="22">
        <v>677867.9909073724</v>
      </c>
      <c r="I24" s="22">
        <v>1</v>
      </c>
      <c r="J24" s="22">
        <v>677867.9909073724</v>
      </c>
    </row>
    <row r="25" spans="2:10" ht="15.75">
      <c r="B25" s="22" t="s">
        <v>47</v>
      </c>
      <c r="C25" s="22" t="s">
        <v>85</v>
      </c>
      <c r="D25" s="22">
        <v>1</v>
      </c>
      <c r="F25" s="22">
        <v>1</v>
      </c>
      <c r="G25" s="22">
        <v>677867.9909073724</v>
      </c>
      <c r="I25" s="22">
        <v>1</v>
      </c>
      <c r="J25" s="22">
        <v>677867.9909073724</v>
      </c>
    </row>
    <row r="26" spans="2:10" ht="15.75">
      <c r="B26" s="22" t="s">
        <v>48</v>
      </c>
      <c r="C26" s="22" t="s">
        <v>86</v>
      </c>
      <c r="D26" s="22">
        <v>1</v>
      </c>
      <c r="F26" s="22">
        <v>1</v>
      </c>
      <c r="G26" s="22">
        <v>677867.9909073724</v>
      </c>
      <c r="I26" s="22">
        <v>1</v>
      </c>
      <c r="J26" s="22">
        <v>677867.9909073724</v>
      </c>
    </row>
    <row r="27" spans="2:10" ht="15.75">
      <c r="B27" s="22" t="s">
        <v>49</v>
      </c>
      <c r="C27" s="22" t="s">
        <v>87</v>
      </c>
      <c r="D27" s="22">
        <v>1</v>
      </c>
      <c r="F27" s="22">
        <v>1</v>
      </c>
      <c r="G27" s="22">
        <v>677867.9909073724</v>
      </c>
      <c r="I27" s="22">
        <v>1</v>
      </c>
      <c r="J27" s="22">
        <v>677867.9909073724</v>
      </c>
    </row>
    <row r="28" spans="2:10" ht="15.75">
      <c r="B28" s="22" t="s">
        <v>50</v>
      </c>
      <c r="C28" s="22" t="s">
        <v>88</v>
      </c>
      <c r="D28" s="22">
        <v>1</v>
      </c>
      <c r="F28" s="22">
        <v>1</v>
      </c>
      <c r="G28" s="22">
        <v>677867.9909073724</v>
      </c>
      <c r="I28" s="22">
        <v>1</v>
      </c>
      <c r="J28" s="22">
        <v>677867.9909073724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C11" sqref="C11"/>
    </sheetView>
  </sheetViews>
  <sheetFormatPr defaultColWidth="11.00390625" defaultRowHeight="15.75"/>
  <cols>
    <col min="1" max="1" width="5.50390625" style="0" customWidth="1"/>
    <col min="2" max="2" width="5.625" style="0" customWidth="1"/>
    <col min="3" max="3" width="16.625" style="0" customWidth="1"/>
    <col min="4" max="4" width="6.875" style="0" customWidth="1"/>
    <col min="5" max="5" width="7.75390625" style="0" customWidth="1"/>
    <col min="6" max="6" width="12.625" style="0" customWidth="1"/>
    <col min="7" max="7" width="13.00390625" style="0" customWidth="1"/>
    <col min="8" max="8" width="12.375" style="0" customWidth="1"/>
    <col min="9" max="9" width="13.00390625" style="0" customWidth="1"/>
    <col min="10" max="10" width="13.50390625" style="0" customWidth="1"/>
    <col min="11" max="11" width="14.25390625" style="0" customWidth="1"/>
    <col min="13" max="13" width="12.875" style="0" customWidth="1"/>
    <col min="14" max="14" width="14.50390625" style="0" customWidth="1"/>
    <col min="15" max="15" width="13.50390625" style="0" customWidth="1"/>
  </cols>
  <sheetData>
    <row r="1" spans="1:13" ht="15.75">
      <c r="A1" t="s">
        <v>8</v>
      </c>
      <c r="B1" t="s">
        <v>0</v>
      </c>
      <c r="C1" s="1" t="s">
        <v>32</v>
      </c>
      <c r="D1" t="s">
        <v>9</v>
      </c>
      <c r="E1" t="s">
        <v>15</v>
      </c>
      <c r="F1" t="s">
        <v>10</v>
      </c>
      <c r="G1" t="s">
        <v>11</v>
      </c>
      <c r="H1" t="s">
        <v>12</v>
      </c>
      <c r="I1" t="s">
        <v>13</v>
      </c>
      <c r="J1" t="s">
        <v>34</v>
      </c>
      <c r="K1" t="s">
        <v>105</v>
      </c>
      <c r="L1" t="s">
        <v>31</v>
      </c>
      <c r="M1" t="s">
        <v>107</v>
      </c>
    </row>
    <row r="2" spans="1:13" ht="15.75">
      <c r="A2" t="s">
        <v>14</v>
      </c>
      <c r="B2" s="7">
        <v>1</v>
      </c>
      <c r="C2" s="34">
        <v>1</v>
      </c>
      <c r="D2">
        <v>30</v>
      </c>
      <c r="E2">
        <v>15</v>
      </c>
      <c r="F2">
        <v>20248.2</v>
      </c>
      <c r="G2">
        <v>1408.98</v>
      </c>
      <c r="H2">
        <v>237.66</v>
      </c>
      <c r="I2">
        <v>4559.18</v>
      </c>
      <c r="J2">
        <f aca="true" t="shared" si="0" ref="J2:J17">SUM(F2:I2)</f>
        <v>26454.02</v>
      </c>
      <c r="K2" s="6">
        <f aca="true" t="shared" si="1" ref="K2:K17">J2*C2</f>
        <v>26454.02</v>
      </c>
      <c r="L2" s="2">
        <f aca="true" t="shared" si="2" ref="L2:L17">((J2-K2)/12)*(D2/2)</f>
        <v>0</v>
      </c>
      <c r="M2" s="8">
        <f>IF(C2=1,K2*J23,J23*K2+L2)</f>
        <v>52908.04</v>
      </c>
    </row>
    <row r="3" spans="1:13" ht="15.75">
      <c r="A3" t="s">
        <v>16</v>
      </c>
      <c r="B3" s="7">
        <v>1</v>
      </c>
      <c r="C3" s="34">
        <v>1</v>
      </c>
      <c r="D3">
        <v>14</v>
      </c>
      <c r="E3">
        <v>5</v>
      </c>
      <c r="F3">
        <v>17642.98</v>
      </c>
      <c r="G3">
        <v>1448.04</v>
      </c>
      <c r="H3">
        <v>200.07</v>
      </c>
      <c r="I3">
        <v>4018.49</v>
      </c>
      <c r="J3">
        <f t="shared" si="0"/>
        <v>23309.58</v>
      </c>
      <c r="K3" s="6">
        <f t="shared" si="1"/>
        <v>23309.58</v>
      </c>
      <c r="L3" s="2">
        <f t="shared" si="2"/>
        <v>0</v>
      </c>
      <c r="M3" s="8">
        <f>IF(C3=1,K3*J23,J23*K3+L3)</f>
        <v>46619.16</v>
      </c>
    </row>
    <row r="4" spans="1:13" ht="15.75">
      <c r="A4" t="s">
        <v>17</v>
      </c>
      <c r="B4">
        <v>1</v>
      </c>
      <c r="C4" s="32">
        <v>0</v>
      </c>
      <c r="D4">
        <v>15</v>
      </c>
      <c r="E4">
        <v>17</v>
      </c>
      <c r="F4">
        <v>28926.59</v>
      </c>
      <c r="G4">
        <v>2612.05</v>
      </c>
      <c r="H4">
        <v>315.9</v>
      </c>
      <c r="I4">
        <v>6634.49</v>
      </c>
      <c r="J4" s="38">
        <f t="shared" si="0"/>
        <v>38489.03</v>
      </c>
      <c r="K4" s="6">
        <f t="shared" si="1"/>
        <v>0</v>
      </c>
      <c r="L4" s="2">
        <f t="shared" si="2"/>
        <v>24055.64375</v>
      </c>
      <c r="M4" s="2">
        <f>IF(C4=1,K4*J23,J23*K4+L4)</f>
        <v>24055.64375</v>
      </c>
    </row>
    <row r="5" spans="1:13" ht="15.75">
      <c r="A5" t="s">
        <v>18</v>
      </c>
      <c r="B5">
        <v>1</v>
      </c>
      <c r="C5" s="32">
        <v>0</v>
      </c>
      <c r="D5">
        <v>6</v>
      </c>
      <c r="E5">
        <v>15</v>
      </c>
      <c r="F5" s="28">
        <v>26108.16</v>
      </c>
      <c r="G5">
        <v>2301.63</v>
      </c>
      <c r="H5">
        <v>291.12</v>
      </c>
      <c r="I5">
        <v>5977.57</v>
      </c>
      <c r="J5" s="38">
        <f t="shared" si="0"/>
        <v>34678.479999999996</v>
      </c>
      <c r="K5" s="6">
        <f t="shared" si="1"/>
        <v>0</v>
      </c>
      <c r="L5" s="2">
        <f t="shared" si="2"/>
        <v>8669.619999999999</v>
      </c>
      <c r="M5" s="2">
        <f>IF(C5=1,K5*J23,J23*K5+L5)</f>
        <v>8669.619999999999</v>
      </c>
    </row>
    <row r="6" spans="1:13" ht="15.75">
      <c r="A6" t="s">
        <v>19</v>
      </c>
      <c r="B6">
        <v>1</v>
      </c>
      <c r="C6" s="34">
        <v>1</v>
      </c>
      <c r="D6">
        <v>11</v>
      </c>
      <c r="E6">
        <v>33</v>
      </c>
      <c r="F6" s="28">
        <v>25081.32</v>
      </c>
      <c r="G6">
        <v>2000</v>
      </c>
      <c r="H6">
        <v>601.92</v>
      </c>
      <c r="I6">
        <v>5244.36</v>
      </c>
      <c r="J6" s="39">
        <f t="shared" si="0"/>
        <v>32927.6</v>
      </c>
      <c r="K6" s="6">
        <f t="shared" si="1"/>
        <v>32927.6</v>
      </c>
      <c r="L6" s="2">
        <f t="shared" si="2"/>
        <v>0</v>
      </c>
      <c r="M6" s="2">
        <f>IF(C6=1,K6*J23,J23*K6+L6)</f>
        <v>65855.2</v>
      </c>
    </row>
    <row r="7" spans="1:13" ht="15.75">
      <c r="A7" t="s">
        <v>20</v>
      </c>
      <c r="B7">
        <v>1</v>
      </c>
      <c r="C7" s="34">
        <v>0</v>
      </c>
      <c r="D7">
        <v>10</v>
      </c>
      <c r="E7">
        <v>25</v>
      </c>
      <c r="F7" s="28">
        <v>27660.94</v>
      </c>
      <c r="G7">
        <v>1968.72</v>
      </c>
      <c r="H7">
        <v>322.35</v>
      </c>
      <c r="I7">
        <v>6386.24</v>
      </c>
      <c r="J7" s="38">
        <f t="shared" si="0"/>
        <v>36338.25</v>
      </c>
      <c r="K7" s="6">
        <f t="shared" si="1"/>
        <v>0</v>
      </c>
      <c r="L7" s="2">
        <f t="shared" si="2"/>
        <v>15140.9375</v>
      </c>
      <c r="M7" s="2">
        <f>IF(C7=1,K7*J23,J23*K7+L7)</f>
        <v>15140.9375</v>
      </c>
    </row>
    <row r="8" spans="1:13" ht="15.75">
      <c r="A8" t="s">
        <v>21</v>
      </c>
      <c r="B8">
        <v>1</v>
      </c>
      <c r="C8" s="34">
        <v>0</v>
      </c>
      <c r="D8">
        <v>3</v>
      </c>
      <c r="E8">
        <v>36</v>
      </c>
      <c r="F8" s="28">
        <v>25589.41</v>
      </c>
      <c r="G8">
        <v>1764.71</v>
      </c>
      <c r="H8">
        <v>257.07</v>
      </c>
      <c r="I8">
        <v>5856.01</v>
      </c>
      <c r="J8" s="38">
        <f t="shared" si="0"/>
        <v>33467.2</v>
      </c>
      <c r="K8" s="6">
        <f t="shared" si="1"/>
        <v>0</v>
      </c>
      <c r="L8" s="2">
        <f t="shared" si="2"/>
        <v>4183.4</v>
      </c>
      <c r="M8" s="2">
        <f>IF(C8=1,K8*J23,J23*K8+L8)</f>
        <v>4183.4</v>
      </c>
    </row>
    <row r="9" spans="1:13" ht="15.75">
      <c r="A9" t="s">
        <v>22</v>
      </c>
      <c r="B9">
        <v>1</v>
      </c>
      <c r="C9" s="32">
        <v>0</v>
      </c>
      <c r="D9">
        <v>2</v>
      </c>
      <c r="E9">
        <v>18</v>
      </c>
      <c r="F9" s="28">
        <v>26228.93</v>
      </c>
      <c r="G9">
        <v>1981.87</v>
      </c>
      <c r="H9">
        <v>305.22</v>
      </c>
      <c r="I9">
        <v>2123.62</v>
      </c>
      <c r="J9" s="39">
        <f t="shared" si="0"/>
        <v>30639.64</v>
      </c>
      <c r="K9" s="6">
        <f t="shared" si="1"/>
        <v>0</v>
      </c>
      <c r="L9" s="2">
        <f t="shared" si="2"/>
        <v>2553.3033333333333</v>
      </c>
      <c r="M9" s="2">
        <f>IF(C9=1,K9*J23,J23*K9+L9)</f>
        <v>2553.3033333333333</v>
      </c>
    </row>
    <row r="10" spans="1:13" ht="15.75">
      <c r="A10" t="s">
        <v>23</v>
      </c>
      <c r="B10">
        <v>1</v>
      </c>
      <c r="C10" s="1">
        <v>1</v>
      </c>
      <c r="D10">
        <v>2</v>
      </c>
      <c r="E10">
        <v>40</v>
      </c>
      <c r="F10">
        <v>8241.15</v>
      </c>
      <c r="G10">
        <v>547.15</v>
      </c>
      <c r="H10">
        <v>0</v>
      </c>
      <c r="I10">
        <v>1637.77</v>
      </c>
      <c r="J10">
        <f t="shared" si="0"/>
        <v>10426.07</v>
      </c>
      <c r="K10" s="6">
        <f t="shared" si="1"/>
        <v>10426.07</v>
      </c>
      <c r="L10" s="2">
        <f t="shared" si="2"/>
        <v>0</v>
      </c>
      <c r="M10" s="2">
        <f>IF(C10=1,K10*J23,J23*K10+L10)</f>
        <v>20852.14</v>
      </c>
    </row>
    <row r="11" spans="1:13" ht="15.75">
      <c r="A11" t="s">
        <v>24</v>
      </c>
      <c r="B11">
        <v>1</v>
      </c>
      <c r="C11" s="32">
        <v>0.4415584494488442</v>
      </c>
      <c r="D11">
        <v>1</v>
      </c>
      <c r="E11">
        <v>36</v>
      </c>
      <c r="F11">
        <v>20222.52</v>
      </c>
      <c r="G11">
        <v>1381.44</v>
      </c>
      <c r="H11">
        <v>231.85</v>
      </c>
      <c r="I11">
        <v>4699.38</v>
      </c>
      <c r="J11" s="28">
        <f t="shared" si="0"/>
        <v>26535.19</v>
      </c>
      <c r="K11" s="6">
        <f t="shared" si="1"/>
        <v>11716.837352230476</v>
      </c>
      <c r="L11" s="2">
        <f t="shared" si="2"/>
        <v>617.4313603237301</v>
      </c>
      <c r="M11" s="2">
        <f>IF(C11=1,K11*J23,J23*K11+L11)</f>
        <v>24051.106064784683</v>
      </c>
    </row>
    <row r="12" spans="1:13" ht="15.75">
      <c r="A12" t="s">
        <v>25</v>
      </c>
      <c r="B12">
        <v>1</v>
      </c>
      <c r="C12" s="32">
        <v>1</v>
      </c>
      <c r="D12">
        <v>1</v>
      </c>
      <c r="E12">
        <v>16</v>
      </c>
      <c r="F12">
        <v>20035.66</v>
      </c>
      <c r="G12">
        <v>1395.96</v>
      </c>
      <c r="H12">
        <v>234.29</v>
      </c>
      <c r="I12">
        <v>4523.11</v>
      </c>
      <c r="J12">
        <f t="shared" si="0"/>
        <v>26189.02</v>
      </c>
      <c r="K12" s="6">
        <f t="shared" si="1"/>
        <v>26189.02</v>
      </c>
      <c r="L12" s="2">
        <f t="shared" si="2"/>
        <v>0</v>
      </c>
      <c r="M12" s="2">
        <f>IF(C12=1,K12*J23,J23*K12+L12)</f>
        <v>52378.04</v>
      </c>
    </row>
    <row r="13" spans="1:13" ht="15.75">
      <c r="A13" t="s">
        <v>26</v>
      </c>
      <c r="B13">
        <v>1</v>
      </c>
      <c r="C13" s="1">
        <v>1</v>
      </c>
      <c r="D13">
        <v>1</v>
      </c>
      <c r="E13">
        <v>40</v>
      </c>
      <c r="F13">
        <v>9225.13</v>
      </c>
      <c r="G13">
        <v>486.51</v>
      </c>
      <c r="H13">
        <v>81.65</v>
      </c>
      <c r="I13">
        <v>1131.29</v>
      </c>
      <c r="J13">
        <f t="shared" si="0"/>
        <v>10924.579999999998</v>
      </c>
      <c r="K13" s="6">
        <f t="shared" si="1"/>
        <v>10924.579999999998</v>
      </c>
      <c r="L13" s="2">
        <f t="shared" si="2"/>
        <v>0</v>
      </c>
      <c r="M13" s="2">
        <f>IF(C13=1,K13*J23,J23*K13+L13)</f>
        <v>21849.159999999996</v>
      </c>
    </row>
    <row r="14" spans="1:13" ht="15.75">
      <c r="A14" t="s">
        <v>27</v>
      </c>
      <c r="B14">
        <v>1</v>
      </c>
      <c r="C14" s="1">
        <v>1</v>
      </c>
      <c r="D14">
        <v>1</v>
      </c>
      <c r="E14">
        <v>37</v>
      </c>
      <c r="F14">
        <v>6334.93</v>
      </c>
      <c r="G14">
        <v>586.03</v>
      </c>
      <c r="H14">
        <v>98.35</v>
      </c>
      <c r="I14">
        <v>1887.47</v>
      </c>
      <c r="J14">
        <f t="shared" si="0"/>
        <v>8906.78</v>
      </c>
      <c r="K14" s="6">
        <f t="shared" si="1"/>
        <v>8906.78</v>
      </c>
      <c r="L14" s="2">
        <f t="shared" si="2"/>
        <v>0</v>
      </c>
      <c r="M14" s="2">
        <f>IF(C14=1,K14*J23,J23*K14+L14)</f>
        <v>17813.56</v>
      </c>
    </row>
    <row r="15" spans="1:13" ht="15.75">
      <c r="A15" t="s">
        <v>28</v>
      </c>
      <c r="B15">
        <v>1</v>
      </c>
      <c r="C15" s="1">
        <v>1</v>
      </c>
      <c r="D15">
        <v>1</v>
      </c>
      <c r="E15">
        <v>24</v>
      </c>
      <c r="F15">
        <v>8748.53</v>
      </c>
      <c r="G15">
        <v>584.82</v>
      </c>
      <c r="H15">
        <v>98.15</v>
      </c>
      <c r="I15">
        <v>2003.15</v>
      </c>
      <c r="J15">
        <f t="shared" si="0"/>
        <v>11434.65</v>
      </c>
      <c r="K15" s="6">
        <f t="shared" si="1"/>
        <v>11434.65</v>
      </c>
      <c r="L15" s="2">
        <f t="shared" si="2"/>
        <v>0</v>
      </c>
      <c r="M15" s="2">
        <f>IF(C15=1,K15*J23,J23*K15+L15)</f>
        <v>22869.3</v>
      </c>
    </row>
    <row r="16" spans="1:15" ht="15.75">
      <c r="A16" t="s">
        <v>29</v>
      </c>
      <c r="B16">
        <v>1</v>
      </c>
      <c r="C16" s="1">
        <v>0</v>
      </c>
      <c r="D16">
        <v>1</v>
      </c>
      <c r="E16">
        <v>24</v>
      </c>
      <c r="F16">
        <v>9453.56</v>
      </c>
      <c r="G16">
        <v>650.52</v>
      </c>
      <c r="H16">
        <v>109.18</v>
      </c>
      <c r="I16">
        <v>2126.58</v>
      </c>
      <c r="J16">
        <f t="shared" si="0"/>
        <v>12339.84</v>
      </c>
      <c r="K16" s="6">
        <f t="shared" si="1"/>
        <v>0</v>
      </c>
      <c r="L16" s="2">
        <f t="shared" si="2"/>
        <v>514.16</v>
      </c>
      <c r="M16" s="2">
        <f>IF(C16=1,K16*J23,J23*K16+L16)</f>
        <v>514.16</v>
      </c>
      <c r="N16">
        <v>774256.2</v>
      </c>
      <c r="O16" t="s">
        <v>112</v>
      </c>
    </row>
    <row r="17" spans="1:15" ht="15.75">
      <c r="A17" t="s">
        <v>30</v>
      </c>
      <c r="B17">
        <v>1</v>
      </c>
      <c r="C17" s="34">
        <v>1</v>
      </c>
      <c r="D17">
        <v>0.5</v>
      </c>
      <c r="E17">
        <v>33</v>
      </c>
      <c r="F17">
        <v>17691.71</v>
      </c>
      <c r="G17">
        <v>1923.21</v>
      </c>
      <c r="H17">
        <v>322.78</v>
      </c>
      <c r="I17">
        <v>4130.47</v>
      </c>
      <c r="J17">
        <f t="shared" si="0"/>
        <v>24068.17</v>
      </c>
      <c r="K17" s="6">
        <f t="shared" si="1"/>
        <v>24068.17</v>
      </c>
      <c r="L17" s="2">
        <f t="shared" si="2"/>
        <v>0</v>
      </c>
      <c r="M17" s="2">
        <f>IF(C17=1,K17*J23,J23*K17+L17)</f>
        <v>48136.34</v>
      </c>
      <c r="N17">
        <v>502708.91</v>
      </c>
      <c r="O17" t="s">
        <v>110</v>
      </c>
    </row>
    <row r="18" spans="2:15" ht="15.75">
      <c r="B18">
        <f>SUM(B2:B17)</f>
        <v>16</v>
      </c>
      <c r="C18">
        <f>SUM(C2:C17)</f>
        <v>9.441558449448845</v>
      </c>
      <c r="F18" s="5">
        <f>SUM(F2:F17)</f>
        <v>297439.72000000003</v>
      </c>
      <c r="G18" s="5">
        <f>SUM(G2:G17)</f>
        <v>23041.639999999996</v>
      </c>
      <c r="H18" s="5">
        <f>SUM(H2:H17)</f>
        <v>3707.5600000000004</v>
      </c>
      <c r="I18" s="5">
        <f>SUM(I2:I17)</f>
        <v>62939.18000000001</v>
      </c>
      <c r="J18" s="5">
        <f>SUM(J2:J17)</f>
        <v>387128.1000000001</v>
      </c>
      <c r="K18" s="5"/>
      <c r="L18" s="6"/>
      <c r="M18" s="5">
        <f>SUM(M2:M17)</f>
        <v>428449.11064811796</v>
      </c>
      <c r="N18" s="5">
        <v>428449.11</v>
      </c>
      <c r="O18" t="s">
        <v>111</v>
      </c>
    </row>
    <row r="19" spans="10:15" ht="15.75">
      <c r="J19">
        <f>J18*J23</f>
        <v>774256.2000000002</v>
      </c>
      <c r="K19" t="s">
        <v>91</v>
      </c>
      <c r="L19" s="24">
        <f>SUM(L2:L18)</f>
        <v>55734.49594365707</v>
      </c>
      <c r="M19" s="6"/>
      <c r="N19" s="40">
        <f>N17-M18</f>
        <v>74259.79935188201</v>
      </c>
      <c r="O19" s="6"/>
    </row>
    <row r="20" spans="1:12" ht="15.75">
      <c r="A20" t="s">
        <v>8</v>
      </c>
      <c r="B20" t="s">
        <v>0</v>
      </c>
      <c r="C20" t="s">
        <v>32</v>
      </c>
      <c r="D20" t="s">
        <v>106</v>
      </c>
      <c r="K20" t="s">
        <v>92</v>
      </c>
      <c r="L20" s="25" t="s">
        <v>95</v>
      </c>
    </row>
    <row r="21" spans="1:12" ht="15.75">
      <c r="A21" t="s">
        <v>14</v>
      </c>
      <c r="B21" s="7">
        <v>38.5</v>
      </c>
      <c r="C21" s="7">
        <f aca="true" t="shared" si="3" ref="C21:C36">B21*C2</f>
        <v>38.5</v>
      </c>
      <c r="D21" s="2">
        <f aca="true" t="shared" si="4" ref="D21:D37">J2/(52*B21)</f>
        <v>13.213796203796203</v>
      </c>
      <c r="F21">
        <v>385</v>
      </c>
      <c r="G21" s="31">
        <v>677867.99</v>
      </c>
      <c r="I21" s="27" t="s">
        <v>93</v>
      </c>
      <c r="J21" s="23">
        <f>J19-M18</f>
        <v>345807.0893518822</v>
      </c>
      <c r="K21" s="30">
        <f>J21/J23</f>
        <v>172903.5446759411</v>
      </c>
      <c r="L21" s="26" t="s">
        <v>94</v>
      </c>
    </row>
    <row r="22" spans="1:10" ht="15.75">
      <c r="A22" t="s">
        <v>16</v>
      </c>
      <c r="B22" s="7">
        <v>38.5</v>
      </c>
      <c r="C22" s="7">
        <f t="shared" si="3"/>
        <v>38.5</v>
      </c>
      <c r="D22" s="2">
        <f t="shared" si="4"/>
        <v>11.643146853146854</v>
      </c>
      <c r="G22" s="31"/>
      <c r="I22" t="s">
        <v>108</v>
      </c>
      <c r="J22" s="35">
        <f>J21/J19</f>
        <v>0.4466313467711103</v>
      </c>
    </row>
    <row r="23" spans="1:13" ht="15.75">
      <c r="A23" t="s">
        <v>17</v>
      </c>
      <c r="B23" s="7">
        <v>38.5</v>
      </c>
      <c r="C23" s="7">
        <f t="shared" si="3"/>
        <v>0</v>
      </c>
      <c r="D23" s="2">
        <f t="shared" si="4"/>
        <v>19.225289710289708</v>
      </c>
      <c r="I23" t="s">
        <v>33</v>
      </c>
      <c r="J23">
        <v>2</v>
      </c>
      <c r="M23" s="6">
        <v>123879.79</v>
      </c>
    </row>
    <row r="24" spans="1:13" ht="15.75">
      <c r="A24" t="s">
        <v>18</v>
      </c>
      <c r="B24" s="7">
        <v>38.5</v>
      </c>
      <c r="C24" s="7">
        <f t="shared" si="3"/>
        <v>0</v>
      </c>
      <c r="D24" s="2">
        <f t="shared" si="4"/>
        <v>17.32191808191808</v>
      </c>
      <c r="M24" s="6">
        <f>M18-M23</f>
        <v>304569.320648118</v>
      </c>
    </row>
    <row r="25" spans="1:4" ht="15.75">
      <c r="A25" t="s">
        <v>19</v>
      </c>
      <c r="B25" s="7">
        <v>38.5</v>
      </c>
      <c r="C25" s="7">
        <f t="shared" si="3"/>
        <v>38.5</v>
      </c>
      <c r="D25" s="2">
        <f t="shared" si="4"/>
        <v>16.44735264735265</v>
      </c>
    </row>
    <row r="26" spans="1:4" ht="15.75">
      <c r="A26" t="s">
        <v>20</v>
      </c>
      <c r="B26" s="7">
        <v>38.5</v>
      </c>
      <c r="C26" s="7">
        <f t="shared" si="3"/>
        <v>0</v>
      </c>
      <c r="D26" s="2">
        <f t="shared" si="4"/>
        <v>18.150974025974026</v>
      </c>
    </row>
    <row r="27" spans="1:4" ht="15.75">
      <c r="A27" t="s">
        <v>21</v>
      </c>
      <c r="B27" s="7">
        <v>38.5</v>
      </c>
      <c r="C27" s="7">
        <f t="shared" si="3"/>
        <v>0</v>
      </c>
      <c r="D27" s="2">
        <f t="shared" si="4"/>
        <v>16.716883116883114</v>
      </c>
    </row>
    <row r="28" spans="1:4" ht="15.75">
      <c r="A28" t="s">
        <v>22</v>
      </c>
      <c r="B28" s="7">
        <v>38.5</v>
      </c>
      <c r="C28" s="7">
        <f t="shared" si="3"/>
        <v>0</v>
      </c>
      <c r="D28" s="2">
        <f t="shared" si="4"/>
        <v>15.304515484515484</v>
      </c>
    </row>
    <row r="29" spans="1:4" ht="15.75">
      <c r="A29" t="s">
        <v>23</v>
      </c>
      <c r="B29" s="7">
        <v>38.5</v>
      </c>
      <c r="C29" s="7">
        <f t="shared" si="3"/>
        <v>38.5</v>
      </c>
      <c r="D29" s="2">
        <f t="shared" si="4"/>
        <v>5.207827172827173</v>
      </c>
    </row>
    <row r="30" spans="1:4" ht="15.75">
      <c r="A30" t="s">
        <v>24</v>
      </c>
      <c r="B30" s="7">
        <v>38.5</v>
      </c>
      <c r="C30" s="7">
        <f t="shared" si="3"/>
        <v>17.000000303780503</v>
      </c>
      <c r="D30" s="2">
        <f t="shared" si="4"/>
        <v>13.25434065934066</v>
      </c>
    </row>
    <row r="31" spans="1:4" ht="15.75">
      <c r="A31" t="s">
        <v>25</v>
      </c>
      <c r="B31" s="7">
        <v>38.5</v>
      </c>
      <c r="C31" s="7">
        <f t="shared" si="3"/>
        <v>38.5</v>
      </c>
      <c r="D31" s="2">
        <f t="shared" si="4"/>
        <v>13.081428571428571</v>
      </c>
    </row>
    <row r="32" spans="1:4" ht="15.75">
      <c r="A32" t="s">
        <v>26</v>
      </c>
      <c r="B32">
        <v>17</v>
      </c>
      <c r="C32" s="7">
        <f t="shared" si="3"/>
        <v>17</v>
      </c>
      <c r="D32" s="2">
        <f t="shared" si="4"/>
        <v>12.358122171945698</v>
      </c>
    </row>
    <row r="33" spans="1:4" ht="15.75">
      <c r="A33" t="s">
        <v>27</v>
      </c>
      <c r="B33">
        <v>17</v>
      </c>
      <c r="C33" s="7">
        <f t="shared" si="3"/>
        <v>17</v>
      </c>
      <c r="D33" s="2">
        <f t="shared" si="4"/>
        <v>10.07554298642534</v>
      </c>
    </row>
    <row r="34" spans="1:4" ht="15.75">
      <c r="A34" t="s">
        <v>28</v>
      </c>
      <c r="B34">
        <v>17</v>
      </c>
      <c r="C34" s="7">
        <f t="shared" si="3"/>
        <v>17</v>
      </c>
      <c r="D34" s="2">
        <f t="shared" si="4"/>
        <v>12.93512443438914</v>
      </c>
    </row>
    <row r="35" spans="1:4" ht="15.75">
      <c r="A35" t="s">
        <v>29</v>
      </c>
      <c r="B35">
        <v>17</v>
      </c>
      <c r="C35" s="7">
        <f t="shared" si="3"/>
        <v>0</v>
      </c>
      <c r="D35" s="2">
        <f t="shared" si="4"/>
        <v>13.959095022624435</v>
      </c>
    </row>
    <row r="36" spans="1:4" ht="15.75">
      <c r="A36" t="s">
        <v>30</v>
      </c>
      <c r="B36">
        <v>38.5</v>
      </c>
      <c r="C36" s="7">
        <f t="shared" si="3"/>
        <v>38.5</v>
      </c>
      <c r="D36" s="2">
        <f t="shared" si="4"/>
        <v>12.022062937062936</v>
      </c>
    </row>
    <row r="37" spans="2:4" ht="15.75">
      <c r="B37">
        <f>SUM(B21:B36)</f>
        <v>530</v>
      </c>
      <c r="C37" s="1">
        <f>SUM(C21:C36)</f>
        <v>299.0000003037805</v>
      </c>
      <c r="D37" s="2">
        <f t="shared" si="4"/>
        <v>14.046738026124823</v>
      </c>
    </row>
    <row r="38" ht="15.75">
      <c r="C38" s="33">
        <f>385-C37</f>
        <v>85.9999996962195</v>
      </c>
    </row>
    <row r="39" spans="3:4" ht="15.75">
      <c r="C39" s="37">
        <f>C37/38.5</f>
        <v>7.766233774124169</v>
      </c>
      <c r="D39" s="36" t="s">
        <v>109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Siudeja</dc:creator>
  <cp:keywords/>
  <dc:description/>
  <cp:lastModifiedBy>Georg Schudea</cp:lastModifiedBy>
  <cp:lastPrinted>2003-10-07T05:47:10Z</cp:lastPrinted>
  <dcterms:created xsi:type="dcterms:W3CDTF">2003-08-22T13:59:06Z</dcterms:created>
  <dcterms:modified xsi:type="dcterms:W3CDTF">2011-07-18T10:45:57Z</dcterms:modified>
  <cp:category/>
  <cp:version/>
  <cp:contentType/>
  <cp:contentStatus/>
</cp:coreProperties>
</file>